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085" activeTab="0"/>
  </bookViews>
  <sheets>
    <sheet name="на 09.04" sheetId="1" r:id="rId1"/>
  </sheets>
  <definedNames/>
  <calcPr fullCalcOnLoad="1"/>
</workbook>
</file>

<file path=xl/sharedStrings.xml><?xml version="1.0" encoding="utf-8"?>
<sst xmlns="http://schemas.openxmlformats.org/spreadsheetml/2006/main" count="107" uniqueCount="65">
  <si>
    <t xml:space="preserve">             Приложение к Постановлению № 37 от 09.04.2010г.</t>
  </si>
  <si>
    <t>ШТАТНОЕ  РАСПИСАНИЕ</t>
  </si>
  <si>
    <t>Аппарата Администрации Семичанского сельского поселения на 2010 год</t>
  </si>
  <si>
    <t xml:space="preserve">№ </t>
  </si>
  <si>
    <t>должность</t>
  </si>
  <si>
    <t>кол.</t>
  </si>
  <si>
    <t xml:space="preserve">оклад  </t>
  </si>
  <si>
    <t xml:space="preserve">надбавка  за </t>
  </si>
  <si>
    <t>надбавка за особ.</t>
  </si>
  <si>
    <t>материальная</t>
  </si>
  <si>
    <t>надбавка за секретность</t>
  </si>
  <si>
    <t>премия</t>
  </si>
  <si>
    <t>компенсац.</t>
  </si>
  <si>
    <t>денежное</t>
  </si>
  <si>
    <t>работа с</t>
  </si>
  <si>
    <t>надбавка</t>
  </si>
  <si>
    <t>надбавка за</t>
  </si>
  <si>
    <t>ИТОГО</t>
  </si>
  <si>
    <t>компенсац</t>
  </si>
  <si>
    <t>годовая</t>
  </si>
  <si>
    <t>ежекварт.премия</t>
  </si>
  <si>
    <t>ВСЕГО</t>
  </si>
  <si>
    <t>п/п</t>
  </si>
  <si>
    <t>ед.</t>
  </si>
  <si>
    <t>кв.разряд</t>
  </si>
  <si>
    <t>выслугу</t>
  </si>
  <si>
    <t>усл.мун.служб.</t>
  </si>
  <si>
    <t>интенсивность и высокие рез. работы</t>
  </si>
  <si>
    <t>помощь</t>
  </si>
  <si>
    <t>пос. мун.</t>
  </si>
  <si>
    <t>содер-</t>
  </si>
  <si>
    <t>дез.сред</t>
  </si>
  <si>
    <t>за</t>
  </si>
  <si>
    <t>безаварийность</t>
  </si>
  <si>
    <t>ненор.р.д</t>
  </si>
  <si>
    <t>месячный</t>
  </si>
  <si>
    <t>на лечение</t>
  </si>
  <si>
    <t>фонд</t>
  </si>
  <si>
    <t>%</t>
  </si>
  <si>
    <t>сумма</t>
  </si>
  <si>
    <t>служащим</t>
  </si>
  <si>
    <t>жание</t>
  </si>
  <si>
    <t>клас 25%</t>
  </si>
  <si>
    <t>(2 оклада)</t>
  </si>
  <si>
    <t>оплаты</t>
  </si>
  <si>
    <t>Глава сел. посел</t>
  </si>
  <si>
    <t>-</t>
  </si>
  <si>
    <t>Сектор экономики и финансов</t>
  </si>
  <si>
    <t>Начальник сектора экономики и финансов</t>
  </si>
  <si>
    <t xml:space="preserve">Гл. cпециалист </t>
  </si>
  <si>
    <t>Специал-финансист1к</t>
  </si>
  <si>
    <t xml:space="preserve">Спец.II к по зем.и имущ                                                                                                                                                                                              </t>
  </si>
  <si>
    <t>Спец.Пк ЖКХ.строит</t>
  </si>
  <si>
    <t>Спец.Пк прав.кадр.раб</t>
  </si>
  <si>
    <t>инспек.по физ.и спорту</t>
  </si>
  <si>
    <t>водитель</t>
  </si>
  <si>
    <t>сторож</t>
  </si>
  <si>
    <t>Истопник</t>
  </si>
  <si>
    <t>уборщица помещ</t>
  </si>
  <si>
    <t>25</t>
  </si>
  <si>
    <t>истопник</t>
  </si>
  <si>
    <t>15</t>
  </si>
  <si>
    <t>Инспектор по ведению первичного воинского учета</t>
  </si>
  <si>
    <t>ВСЕГО по МО</t>
  </si>
  <si>
    <t>Г.Г.Жигунова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</si>
</sst>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2" fontId="18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5" xfId="0" applyFont="1" applyBorder="1" applyAlignment="1">
      <alignment horizontal="center"/>
    </xf>
    <xf numFmtId="3" fontId="18" fillId="0" borderId="15" xfId="0" applyNumberFormat="1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3" fillId="0" borderId="17" xfId="0" applyFont="1" applyBorder="1" applyAlignment="1">
      <alignment/>
    </xf>
    <xf numFmtId="0" fontId="23" fillId="0" borderId="16" xfId="0" applyFont="1" applyBorder="1" applyAlignment="1">
      <alignment/>
    </xf>
    <xf numFmtId="2" fontId="18" fillId="0" borderId="15" xfId="0" applyNumberFormat="1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1" fontId="18" fillId="0" borderId="22" xfId="0" applyNumberFormat="1" applyFont="1" applyBorder="1" applyAlignment="1">
      <alignment horizontal="center"/>
    </xf>
    <xf numFmtId="9" fontId="18" fillId="0" borderId="20" xfId="0" applyNumberFormat="1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/>
    </xf>
    <xf numFmtId="0" fontId="20" fillId="0" borderId="27" xfId="0" applyFont="1" applyBorder="1" applyAlignment="1">
      <alignment horizontal="right"/>
    </xf>
    <xf numFmtId="2" fontId="20" fillId="0" borderId="27" xfId="0" applyNumberFormat="1" applyFont="1" applyBorder="1" applyAlignment="1">
      <alignment horizontal="right"/>
    </xf>
    <xf numFmtId="1" fontId="20" fillId="0" borderId="27" xfId="0" applyNumberFormat="1" applyFont="1" applyBorder="1" applyAlignment="1">
      <alignment horizontal="right"/>
    </xf>
    <xf numFmtId="2" fontId="18" fillId="0" borderId="27" xfId="0" applyNumberFormat="1" applyFont="1" applyBorder="1" applyAlignment="1">
      <alignment horizontal="right"/>
    </xf>
    <xf numFmtId="2" fontId="20" fillId="0" borderId="17" xfId="0" applyNumberFormat="1" applyFont="1" applyBorder="1" applyAlignment="1">
      <alignment horizontal="right"/>
    </xf>
    <xf numFmtId="0" fontId="20" fillId="0" borderId="28" xfId="0" applyFont="1" applyBorder="1" applyAlignment="1">
      <alignment/>
    </xf>
    <xf numFmtId="0" fontId="20" fillId="0" borderId="29" xfId="0" applyFont="1" applyBorder="1" applyAlignment="1">
      <alignment/>
    </xf>
    <xf numFmtId="0" fontId="18" fillId="0" borderId="27" xfId="0" applyFont="1" applyBorder="1" applyAlignment="1">
      <alignment horizontal="right"/>
    </xf>
    <xf numFmtId="2" fontId="18" fillId="0" borderId="17" xfId="0" applyNumberFormat="1" applyFont="1" applyBorder="1" applyAlignment="1">
      <alignment horizontal="right"/>
    </xf>
    <xf numFmtId="0" fontId="18" fillId="0" borderId="30" xfId="0" applyFont="1" applyBorder="1" applyAlignment="1">
      <alignment horizontal="center"/>
    </xf>
    <xf numFmtId="0" fontId="22" fillId="0" borderId="31" xfId="0" applyFont="1" applyBorder="1" applyAlignment="1">
      <alignment vertical="justify"/>
    </xf>
    <xf numFmtId="0" fontId="18" fillId="0" borderId="31" xfId="0" applyFont="1" applyBorder="1" applyAlignment="1">
      <alignment horizontal="right"/>
    </xf>
    <xf numFmtId="2" fontId="18" fillId="0" borderId="31" xfId="0" applyNumberFormat="1" applyFont="1" applyBorder="1" applyAlignment="1">
      <alignment horizontal="right"/>
    </xf>
    <xf numFmtId="1" fontId="18" fillId="0" borderId="31" xfId="0" applyNumberFormat="1" applyFont="1" applyBorder="1" applyAlignment="1">
      <alignment horizontal="right"/>
    </xf>
    <xf numFmtId="0" fontId="18" fillId="0" borderId="31" xfId="0" applyFont="1" applyBorder="1" applyAlignment="1">
      <alignment wrapText="1"/>
    </xf>
    <xf numFmtId="0" fontId="18" fillId="0" borderId="31" xfId="0" applyFont="1" applyBorder="1" applyAlignment="1">
      <alignment/>
    </xf>
    <xf numFmtId="0" fontId="20" fillId="0" borderId="31" xfId="0" applyFont="1" applyBorder="1" applyAlignment="1">
      <alignment/>
    </xf>
    <xf numFmtId="2" fontId="20" fillId="0" borderId="31" xfId="0" applyNumberFormat="1" applyFont="1" applyBorder="1" applyAlignment="1">
      <alignment horizontal="right"/>
    </xf>
    <xf numFmtId="0" fontId="20" fillId="0" borderId="31" xfId="0" applyFont="1" applyBorder="1" applyAlignment="1">
      <alignment horizontal="right"/>
    </xf>
    <xf numFmtId="49" fontId="18" fillId="0" borderId="31" xfId="0" applyNumberFormat="1" applyFont="1" applyBorder="1" applyAlignment="1">
      <alignment/>
    </xf>
    <xf numFmtId="2" fontId="18" fillId="0" borderId="28" xfId="0" applyNumberFormat="1" applyFont="1" applyBorder="1" applyAlignment="1">
      <alignment horizontal="right"/>
    </xf>
    <xf numFmtId="1" fontId="20" fillId="0" borderId="31" xfId="0" applyNumberFormat="1" applyFont="1" applyBorder="1" applyAlignment="1">
      <alignment horizontal="right"/>
    </xf>
    <xf numFmtId="2" fontId="20" fillId="0" borderId="28" xfId="0" applyNumberFormat="1" applyFont="1" applyBorder="1" applyAlignment="1">
      <alignment horizontal="right"/>
    </xf>
    <xf numFmtId="0" fontId="22" fillId="0" borderId="31" xfId="0" applyFont="1" applyBorder="1" applyAlignment="1">
      <alignment horizontal="right"/>
    </xf>
    <xf numFmtId="1" fontId="18" fillId="0" borderId="27" xfId="0" applyNumberFormat="1" applyFont="1" applyBorder="1" applyAlignment="1">
      <alignment horizontal="right"/>
    </xf>
    <xf numFmtId="0" fontId="18" fillId="0" borderId="32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33" xfId="0" applyFont="1" applyBorder="1" applyAlignment="1">
      <alignment horizontal="right"/>
    </xf>
    <xf numFmtId="2" fontId="20" fillId="0" borderId="33" xfId="0" applyNumberFormat="1" applyFont="1" applyBorder="1" applyAlignment="1">
      <alignment horizontal="right"/>
    </xf>
    <xf numFmtId="2" fontId="20" fillId="0" borderId="34" xfId="0" applyNumberFormat="1" applyFont="1" applyBorder="1" applyAlignment="1">
      <alignment horizontal="right"/>
    </xf>
    <xf numFmtId="0" fontId="18" fillId="0" borderId="35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right"/>
    </xf>
    <xf numFmtId="2" fontId="18" fillId="0" borderId="15" xfId="0" applyNumberFormat="1" applyFont="1" applyBorder="1" applyAlignment="1">
      <alignment horizontal="right"/>
    </xf>
    <xf numFmtId="49" fontId="18" fillId="0" borderId="15" xfId="0" applyNumberFormat="1" applyFont="1" applyBorder="1" applyAlignment="1">
      <alignment horizontal="right"/>
    </xf>
    <xf numFmtId="1" fontId="18" fillId="0" borderId="15" xfId="0" applyNumberFormat="1" applyFont="1" applyBorder="1" applyAlignment="1">
      <alignment horizontal="right"/>
    </xf>
    <xf numFmtId="2" fontId="18" fillId="0" borderId="18" xfId="0" applyNumberFormat="1" applyFont="1" applyBorder="1" applyAlignment="1">
      <alignment horizontal="right"/>
    </xf>
    <xf numFmtId="2" fontId="18" fillId="0" borderId="0" xfId="0" applyNumberFormat="1" applyFont="1" applyBorder="1" applyAlignment="1">
      <alignment horizontal="right"/>
    </xf>
    <xf numFmtId="0" fontId="20" fillId="0" borderId="15" xfId="0" applyFont="1" applyBorder="1" applyAlignment="1">
      <alignment/>
    </xf>
    <xf numFmtId="0" fontId="20" fillId="0" borderId="15" xfId="0" applyFont="1" applyBorder="1" applyAlignment="1">
      <alignment horizontal="right"/>
    </xf>
    <xf numFmtId="2" fontId="20" fillId="0" borderId="15" xfId="0" applyNumberFormat="1" applyFont="1" applyBorder="1" applyAlignment="1">
      <alignment horizontal="right"/>
    </xf>
    <xf numFmtId="164" fontId="20" fillId="0" borderId="15" xfId="0" applyNumberFormat="1" applyFont="1" applyBorder="1" applyAlignment="1">
      <alignment horizontal="right"/>
    </xf>
    <xf numFmtId="1" fontId="20" fillId="0" borderId="15" xfId="0" applyNumberFormat="1" applyFont="1" applyBorder="1" applyAlignment="1">
      <alignment horizontal="right"/>
    </xf>
    <xf numFmtId="2" fontId="20" fillId="0" borderId="18" xfId="0" applyNumberFormat="1" applyFont="1" applyBorder="1" applyAlignment="1">
      <alignment horizontal="right"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2" fontId="25" fillId="0" borderId="11" xfId="0" applyNumberFormat="1" applyFont="1" applyBorder="1" applyAlignment="1">
      <alignment horizontal="right"/>
    </xf>
    <xf numFmtId="2" fontId="20" fillId="0" borderId="11" xfId="0" applyNumberFormat="1" applyFont="1" applyBorder="1" applyAlignment="1">
      <alignment horizontal="right"/>
    </xf>
    <xf numFmtId="1" fontId="20" fillId="0" borderId="11" xfId="0" applyNumberFormat="1" applyFont="1" applyBorder="1" applyAlignment="1">
      <alignment horizontal="right"/>
    </xf>
    <xf numFmtId="2" fontId="20" fillId="0" borderId="12" xfId="0" applyNumberFormat="1" applyFont="1" applyBorder="1" applyAlignment="1">
      <alignment horizontal="right"/>
    </xf>
    <xf numFmtId="2" fontId="20" fillId="0" borderId="14" xfId="0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20" fillId="0" borderId="31" xfId="0" applyFont="1" applyBorder="1" applyAlignment="1">
      <alignment/>
    </xf>
    <xf numFmtId="0" fontId="18" fillId="0" borderId="31" xfId="0" applyFont="1" applyBorder="1" applyAlignment="1">
      <alignment horizontal="left" vertical="top" wrapText="1"/>
    </xf>
    <xf numFmtId="0" fontId="20" fillId="0" borderId="31" xfId="0" applyFont="1" applyBorder="1" applyAlignment="1">
      <alignment horizontal="center"/>
    </xf>
    <xf numFmtId="2" fontId="20" fillId="0" borderId="31" xfId="0" applyNumberFormat="1" applyFont="1" applyBorder="1" applyAlignment="1">
      <alignment/>
    </xf>
    <xf numFmtId="0" fontId="22" fillId="0" borderId="31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0" xfId="0" applyFont="1" applyAlignment="1">
      <alignment/>
    </xf>
    <xf numFmtId="2" fontId="22" fillId="0" borderId="27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2" fontId="24" fillId="0" borderId="0" xfId="0" applyNumberFormat="1" applyFont="1" applyBorder="1" applyAlignment="1">
      <alignment/>
    </xf>
    <xf numFmtId="9" fontId="18" fillId="0" borderId="0" xfId="55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9" fontId="18" fillId="0" borderId="0" xfId="0" applyNumberFormat="1" applyFont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49" fontId="18" fillId="0" borderId="12" xfId="0" applyNumberFormat="1" applyFont="1" applyBorder="1" applyAlignment="1">
      <alignment horizontal="center" wrapText="1"/>
    </xf>
    <xf numFmtId="49" fontId="18" fillId="0" borderId="13" xfId="0" applyNumberFormat="1" applyFont="1" applyBorder="1" applyAlignment="1">
      <alignment horizontal="center" wrapText="1"/>
    </xf>
    <xf numFmtId="49" fontId="18" fillId="0" borderId="17" xfId="0" applyNumberFormat="1" applyFont="1" applyBorder="1" applyAlignment="1">
      <alignment horizontal="center" wrapText="1"/>
    </xf>
    <xf numFmtId="49" fontId="18" fillId="0" borderId="16" xfId="0" applyNumberFormat="1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tabSelected="1" view="pageBreakPreview" zoomScale="120" zoomScaleSheetLayoutView="120" zoomScalePageLayoutView="0" workbookViewId="0" topLeftCell="A1">
      <pane xSplit="2" ySplit="13" topLeftCell="R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Y36" sqref="Y36"/>
    </sheetView>
  </sheetViews>
  <sheetFormatPr defaultColWidth="9.140625" defaultRowHeight="12.75"/>
  <cols>
    <col min="1" max="1" width="2.8515625" style="1" customWidth="1"/>
    <col min="2" max="2" width="18.8515625" style="1" customWidth="1"/>
    <col min="3" max="3" width="5.28125" style="1" customWidth="1"/>
    <col min="4" max="4" width="8.421875" style="1" customWidth="1"/>
    <col min="5" max="5" width="3.57421875" style="1" customWidth="1"/>
    <col min="6" max="6" width="7.421875" style="1" customWidth="1"/>
    <col min="7" max="7" width="3.140625" style="1" customWidth="1"/>
    <col min="8" max="8" width="7.140625" style="1" customWidth="1"/>
    <col min="9" max="9" width="3.57421875" style="1" customWidth="1"/>
    <col min="10" max="10" width="7.8515625" style="1" customWidth="1"/>
    <col min="11" max="11" width="2.8515625" style="1" customWidth="1"/>
    <col min="12" max="12" width="7.140625" style="1" customWidth="1"/>
    <col min="13" max="13" width="4.7109375" style="1" customWidth="1"/>
    <col min="14" max="14" width="7.7109375" style="1" customWidth="1"/>
    <col min="15" max="15" width="1.7109375" style="1" customWidth="1"/>
    <col min="16" max="16" width="5.57421875" style="1" customWidth="1"/>
    <col min="17" max="17" width="3.140625" style="1" customWidth="1"/>
    <col min="18" max="18" width="8.00390625" style="1" customWidth="1"/>
    <col min="19" max="19" width="6.140625" style="1" customWidth="1"/>
    <col min="20" max="20" width="6.00390625" style="1" hidden="1" customWidth="1"/>
    <col min="21" max="22" width="6.00390625" style="1" customWidth="1"/>
    <col min="23" max="23" width="5.7109375" style="1" customWidth="1"/>
    <col min="24" max="24" width="7.140625" style="1" customWidth="1"/>
    <col min="25" max="25" width="9.00390625" style="1" customWidth="1"/>
    <col min="26" max="26" width="8.421875" style="1" customWidth="1"/>
    <col min="27" max="27" width="8.57421875" style="1" customWidth="1"/>
    <col min="28" max="28" width="8.7109375" style="1" customWidth="1"/>
    <col min="29" max="29" width="10.28125" style="1" customWidth="1"/>
    <col min="30" max="16384" width="9.140625" style="1" customWidth="1"/>
  </cols>
  <sheetData>
    <row r="1" spans="21:29" ht="15.75" customHeight="1">
      <c r="U1" s="109" t="s">
        <v>0</v>
      </c>
      <c r="V1" s="109"/>
      <c r="W1" s="109"/>
      <c r="X1" s="109"/>
      <c r="Y1" s="109"/>
      <c r="Z1" s="109"/>
      <c r="AA1" s="109"/>
      <c r="AB1" s="109"/>
      <c r="AC1" s="109"/>
    </row>
    <row r="2" spans="18:29" ht="12" customHeight="1"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4"/>
    </row>
    <row r="3" spans="18:29" ht="6" customHeight="1">
      <c r="R3" s="5"/>
      <c r="S3" s="5"/>
      <c r="T3" s="5"/>
      <c r="U3" s="5"/>
      <c r="V3" s="6"/>
      <c r="W3" s="6"/>
      <c r="X3" s="110"/>
      <c r="Y3" s="110"/>
      <c r="Z3" s="6"/>
      <c r="AA3" s="6"/>
      <c r="AB3" s="6"/>
      <c r="AC3" s="6"/>
    </row>
    <row r="4" spans="18:29" ht="12.75" customHeight="1">
      <c r="R4" s="5"/>
      <c r="S4" s="5"/>
      <c r="T4" s="5"/>
      <c r="U4" s="5"/>
      <c r="V4" s="7"/>
      <c r="W4" s="7"/>
      <c r="X4" s="7"/>
      <c r="Y4" s="7"/>
      <c r="Z4" s="111"/>
      <c r="AA4" s="111"/>
      <c r="AB4" s="111"/>
      <c r="AC4" s="111"/>
    </row>
    <row r="5" spans="22:29" ht="5.25" customHeight="1">
      <c r="V5" s="7"/>
      <c r="W5" s="7"/>
      <c r="X5" s="7"/>
      <c r="Y5" s="7"/>
      <c r="Z5" s="8"/>
      <c r="AA5" s="8"/>
      <c r="AB5" s="8"/>
      <c r="AC5" s="8"/>
    </row>
    <row r="6" spans="22:29" ht="3.75" customHeight="1">
      <c r="V6" s="9"/>
      <c r="W6" s="112"/>
      <c r="X6" s="112"/>
      <c r="Y6" s="9"/>
      <c r="Z6" s="9"/>
      <c r="AA6" s="9"/>
      <c r="AB6" s="9"/>
      <c r="AC6" s="9"/>
    </row>
    <row r="7" spans="2:29" ht="14.25" customHeight="1">
      <c r="B7" s="107" t="s">
        <v>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</row>
    <row r="8" spans="2:29" ht="12.75" hidden="1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</row>
    <row r="9" spans="2:29" ht="10.5" customHeight="1">
      <c r="B9" s="108" t="s">
        <v>2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</row>
    <row r="10" ht="1.5" customHeight="1" thickBot="1"/>
    <row r="11" spans="1:29" s="19" customFormat="1" ht="25.5" customHeight="1">
      <c r="A11" s="10" t="s">
        <v>3</v>
      </c>
      <c r="B11" s="113" t="s">
        <v>4</v>
      </c>
      <c r="C11" s="11" t="s">
        <v>5</v>
      </c>
      <c r="D11" s="12" t="s">
        <v>6</v>
      </c>
      <c r="E11" s="116" t="s">
        <v>7</v>
      </c>
      <c r="F11" s="117"/>
      <c r="G11" s="118" t="s">
        <v>7</v>
      </c>
      <c r="H11" s="117"/>
      <c r="I11" s="119" t="s">
        <v>8</v>
      </c>
      <c r="J11" s="120"/>
      <c r="K11" s="14" t="s">
        <v>7</v>
      </c>
      <c r="L11" s="15"/>
      <c r="M11" s="118" t="s">
        <v>9</v>
      </c>
      <c r="N11" s="117"/>
      <c r="O11" s="121" t="s">
        <v>10</v>
      </c>
      <c r="P11" s="122"/>
      <c r="Q11" s="118" t="s">
        <v>11</v>
      </c>
      <c r="R11" s="117"/>
      <c r="S11" s="11" t="s">
        <v>12</v>
      </c>
      <c r="T11" s="11" t="s">
        <v>13</v>
      </c>
      <c r="U11" s="16" t="s">
        <v>14</v>
      </c>
      <c r="V11" s="17" t="s">
        <v>15</v>
      </c>
      <c r="W11" s="11"/>
      <c r="X11" s="11" t="s">
        <v>16</v>
      </c>
      <c r="Y11" s="11" t="s">
        <v>17</v>
      </c>
      <c r="Z11" s="11" t="s">
        <v>18</v>
      </c>
      <c r="AA11" s="13" t="s">
        <v>19</v>
      </c>
      <c r="AB11" s="125" t="s">
        <v>20</v>
      </c>
      <c r="AC11" s="18" t="s">
        <v>21</v>
      </c>
    </row>
    <row r="12" spans="1:29" s="19" customFormat="1" ht="12.75">
      <c r="A12" s="130" t="s">
        <v>22</v>
      </c>
      <c r="B12" s="114"/>
      <c r="C12" s="114" t="s">
        <v>23</v>
      </c>
      <c r="D12" s="21">
        <v>1086</v>
      </c>
      <c r="E12" s="132" t="s">
        <v>24</v>
      </c>
      <c r="F12" s="133"/>
      <c r="G12" s="134" t="s">
        <v>25</v>
      </c>
      <c r="H12" s="133"/>
      <c r="I12" s="134" t="s">
        <v>26</v>
      </c>
      <c r="J12" s="133"/>
      <c r="K12" s="24" t="s">
        <v>27</v>
      </c>
      <c r="L12" s="25"/>
      <c r="M12" s="134" t="s">
        <v>28</v>
      </c>
      <c r="N12" s="133"/>
      <c r="O12" s="123"/>
      <c r="P12" s="124"/>
      <c r="Q12" s="23"/>
      <c r="R12" s="22"/>
      <c r="S12" s="20" t="s">
        <v>29</v>
      </c>
      <c r="T12" s="20" t="s">
        <v>30</v>
      </c>
      <c r="U12" s="26" t="s">
        <v>31</v>
      </c>
      <c r="V12" s="27" t="s">
        <v>32</v>
      </c>
      <c r="W12" s="20" t="s">
        <v>33</v>
      </c>
      <c r="X12" s="20" t="s">
        <v>34</v>
      </c>
      <c r="Y12" s="20" t="s">
        <v>35</v>
      </c>
      <c r="Z12" s="20" t="s">
        <v>36</v>
      </c>
      <c r="AA12" s="28" t="s">
        <v>11</v>
      </c>
      <c r="AB12" s="126"/>
      <c r="AC12" s="29" t="s">
        <v>37</v>
      </c>
    </row>
    <row r="13" spans="1:29" s="19" customFormat="1" ht="13.5" thickBot="1">
      <c r="A13" s="131"/>
      <c r="B13" s="115"/>
      <c r="C13" s="115"/>
      <c r="D13" s="31"/>
      <c r="E13" s="32" t="s">
        <v>38</v>
      </c>
      <c r="F13" s="33" t="s">
        <v>39</v>
      </c>
      <c r="G13" s="33" t="s">
        <v>38</v>
      </c>
      <c r="H13" s="33" t="s">
        <v>39</v>
      </c>
      <c r="I13" s="33" t="s">
        <v>38</v>
      </c>
      <c r="J13" s="33" t="s">
        <v>39</v>
      </c>
      <c r="K13" s="33" t="s">
        <v>38</v>
      </c>
      <c r="L13" s="33" t="s">
        <v>39</v>
      </c>
      <c r="M13" s="33" t="s">
        <v>38</v>
      </c>
      <c r="N13" s="33" t="s">
        <v>39</v>
      </c>
      <c r="O13" s="34" t="s">
        <v>38</v>
      </c>
      <c r="P13" s="33" t="s">
        <v>39</v>
      </c>
      <c r="Q13" s="33" t="s">
        <v>38</v>
      </c>
      <c r="R13" s="33" t="s">
        <v>39</v>
      </c>
      <c r="S13" s="30" t="s">
        <v>40</v>
      </c>
      <c r="T13" s="30" t="s">
        <v>41</v>
      </c>
      <c r="U13" s="35">
        <v>0.12</v>
      </c>
      <c r="V13" s="36" t="s">
        <v>42</v>
      </c>
      <c r="W13" s="33" t="s">
        <v>38</v>
      </c>
      <c r="X13" s="33" t="s">
        <v>39</v>
      </c>
      <c r="Y13" s="37" t="s">
        <v>37</v>
      </c>
      <c r="Z13" s="30" t="s">
        <v>43</v>
      </c>
      <c r="AA13" s="38" t="s">
        <v>43</v>
      </c>
      <c r="AB13" s="127"/>
      <c r="AC13" s="39" t="s">
        <v>44</v>
      </c>
    </row>
    <row r="14" spans="1:29" ht="12.75">
      <c r="A14" s="40">
        <v>1</v>
      </c>
      <c r="B14" s="41" t="s">
        <v>45</v>
      </c>
      <c r="C14" s="42">
        <v>1</v>
      </c>
      <c r="D14" s="43">
        <v>6086</v>
      </c>
      <c r="E14" s="42">
        <v>50</v>
      </c>
      <c r="F14" s="43">
        <f>D14*50%</f>
        <v>3043</v>
      </c>
      <c r="G14" s="42">
        <v>10</v>
      </c>
      <c r="H14" s="43">
        <f>D14*10%</f>
        <v>608.6</v>
      </c>
      <c r="I14" s="42">
        <v>200</v>
      </c>
      <c r="J14" s="43">
        <f>D14*200%</f>
        <v>12172</v>
      </c>
      <c r="K14" s="42" t="s">
        <v>46</v>
      </c>
      <c r="L14" s="43" t="s">
        <v>46</v>
      </c>
      <c r="M14" s="42">
        <v>50</v>
      </c>
      <c r="N14" s="43">
        <f>F14*50%+H14*50%+J14*50%+D14*50%</f>
        <v>10954.8</v>
      </c>
      <c r="O14" s="44"/>
      <c r="P14" s="43"/>
      <c r="Q14" s="42">
        <v>25</v>
      </c>
      <c r="R14" s="43">
        <f>D14*25%</f>
        <v>1521.5</v>
      </c>
      <c r="S14" s="44">
        <v>500</v>
      </c>
      <c r="T14" s="45"/>
      <c r="U14" s="43"/>
      <c r="V14" s="43"/>
      <c r="W14" s="43"/>
      <c r="X14" s="43"/>
      <c r="Y14" s="43">
        <f>D14+F14+H14+J14+N14+P14+R14+S14</f>
        <v>34885.899999999994</v>
      </c>
      <c r="Z14" s="43">
        <f>D14*2</f>
        <v>12172</v>
      </c>
      <c r="AA14" s="46">
        <f>D14*2</f>
        <v>12172</v>
      </c>
      <c r="AB14" s="46">
        <f>D14*1.3</f>
        <v>7911.8</v>
      </c>
      <c r="AC14" s="43">
        <f>AB14*4+AA14+Z14+Y14*12</f>
        <v>474621.99999999994</v>
      </c>
    </row>
    <row r="15" spans="1:29" ht="12.75">
      <c r="A15" s="40"/>
      <c r="B15" s="47" t="s">
        <v>47</v>
      </c>
      <c r="C15" s="48"/>
      <c r="D15" s="45"/>
      <c r="E15" s="49"/>
      <c r="F15" s="45"/>
      <c r="G15" s="49"/>
      <c r="H15" s="45"/>
      <c r="I15" s="49"/>
      <c r="J15" s="45"/>
      <c r="K15" s="49"/>
      <c r="L15" s="45"/>
      <c r="M15" s="49"/>
      <c r="N15" s="45"/>
      <c r="O15" s="45"/>
      <c r="P15" s="45"/>
      <c r="Q15" s="49"/>
      <c r="R15" s="45"/>
      <c r="S15" s="45"/>
      <c r="T15" s="45"/>
      <c r="U15" s="45"/>
      <c r="V15" s="45"/>
      <c r="W15" s="45"/>
      <c r="X15" s="45"/>
      <c r="Y15" s="45"/>
      <c r="Z15" s="45"/>
      <c r="AA15" s="50"/>
      <c r="AB15" s="50"/>
      <c r="AC15" s="43"/>
    </row>
    <row r="16" spans="1:29" ht="25.5" customHeight="1">
      <c r="A16" s="51">
        <v>2</v>
      </c>
      <c r="B16" s="52" t="s">
        <v>48</v>
      </c>
      <c r="C16" s="53">
        <v>1</v>
      </c>
      <c r="D16" s="54">
        <v>4198</v>
      </c>
      <c r="E16" s="53">
        <v>20</v>
      </c>
      <c r="F16" s="45">
        <f>D16*E16%</f>
        <v>839.6</v>
      </c>
      <c r="G16" s="53">
        <v>10</v>
      </c>
      <c r="H16" s="45">
        <f>D16*G16%</f>
        <v>419.8</v>
      </c>
      <c r="I16" s="53">
        <v>100</v>
      </c>
      <c r="J16" s="45">
        <f>D16*I16%</f>
        <v>4198</v>
      </c>
      <c r="K16" s="53" t="s">
        <v>46</v>
      </c>
      <c r="L16" s="45" t="s">
        <v>46</v>
      </c>
      <c r="M16" s="53">
        <v>50</v>
      </c>
      <c r="N16" s="45">
        <f>SUM(D16+F16+H16+J16)*0.5</f>
        <v>4827.700000000001</v>
      </c>
      <c r="O16" s="45"/>
      <c r="P16" s="45"/>
      <c r="Q16" s="53">
        <v>25</v>
      </c>
      <c r="R16" s="45">
        <f>D16*25%</f>
        <v>1049.5</v>
      </c>
      <c r="S16" s="55">
        <v>500</v>
      </c>
      <c r="T16" s="54"/>
      <c r="U16" s="54"/>
      <c r="V16" s="54"/>
      <c r="W16" s="45"/>
      <c r="X16" s="45"/>
      <c r="Y16" s="45">
        <f>D16+F16+H16+J16+N16+R16+S16</f>
        <v>16032.600000000002</v>
      </c>
      <c r="Z16" s="45">
        <f>D16*2</f>
        <v>8396</v>
      </c>
      <c r="AA16" s="50">
        <f>D16*2</f>
        <v>8396</v>
      </c>
      <c r="AB16" s="45">
        <f>D16</f>
        <v>4198</v>
      </c>
      <c r="AC16" s="43">
        <f aca="true" t="shared" si="0" ref="AC16:AC23">AB16*4+AA16+Z16+Y16*12</f>
        <v>225975.2</v>
      </c>
    </row>
    <row r="17" spans="1:29" ht="27" customHeight="1">
      <c r="A17" s="51">
        <v>3</v>
      </c>
      <c r="B17" s="56" t="s">
        <v>49</v>
      </c>
      <c r="C17" s="53">
        <v>1</v>
      </c>
      <c r="D17" s="54">
        <v>3779</v>
      </c>
      <c r="E17" s="53">
        <v>25</v>
      </c>
      <c r="F17" s="45">
        <f>D17*E17%</f>
        <v>944.75</v>
      </c>
      <c r="G17" s="53">
        <v>10</v>
      </c>
      <c r="H17" s="45">
        <f>D17*10%</f>
        <v>377.90000000000003</v>
      </c>
      <c r="I17" s="53">
        <v>90</v>
      </c>
      <c r="J17" s="45">
        <f>D17*I17%</f>
        <v>3401.1</v>
      </c>
      <c r="K17" s="53" t="s">
        <v>46</v>
      </c>
      <c r="L17" s="45" t="s">
        <v>46</v>
      </c>
      <c r="M17" s="53">
        <v>50</v>
      </c>
      <c r="N17" s="45">
        <f>SUM(D17+F17+J17+H17)*0.5</f>
        <v>4251.375</v>
      </c>
      <c r="O17" s="45"/>
      <c r="P17" s="45"/>
      <c r="Q17" s="53">
        <v>25</v>
      </c>
      <c r="R17" s="45">
        <f>D17*25%</f>
        <v>944.75</v>
      </c>
      <c r="S17" s="55">
        <v>500</v>
      </c>
      <c r="T17" s="54"/>
      <c r="U17" s="54"/>
      <c r="V17" s="54"/>
      <c r="W17" s="45"/>
      <c r="X17" s="45"/>
      <c r="Y17" s="45">
        <f>D17+F17+J17+N17+R17+S17+H17</f>
        <v>14198.875</v>
      </c>
      <c r="Z17" s="45">
        <f>D17*2</f>
        <v>7558</v>
      </c>
      <c r="AA17" s="50">
        <f>D17*2</f>
        <v>7558</v>
      </c>
      <c r="AB17" s="50">
        <f>D17*0.9</f>
        <v>3401.1</v>
      </c>
      <c r="AC17" s="43">
        <f t="shared" si="0"/>
        <v>199106.9</v>
      </c>
    </row>
    <row r="18" spans="1:29" ht="18.75" customHeight="1">
      <c r="A18" s="51">
        <v>4</v>
      </c>
      <c r="B18" s="57" t="s">
        <v>50</v>
      </c>
      <c r="C18" s="53">
        <v>1</v>
      </c>
      <c r="D18" s="54">
        <v>2728</v>
      </c>
      <c r="E18" s="53">
        <v>10</v>
      </c>
      <c r="F18" s="45">
        <f>D18*10%</f>
        <v>272.8</v>
      </c>
      <c r="G18" s="53">
        <v>10</v>
      </c>
      <c r="H18" s="45">
        <f>D18*10%</f>
        <v>272.8</v>
      </c>
      <c r="I18" s="53">
        <v>50</v>
      </c>
      <c r="J18" s="45">
        <f>D18*50%</f>
        <v>1364</v>
      </c>
      <c r="K18" s="53" t="s">
        <v>46</v>
      </c>
      <c r="L18" s="45" t="s">
        <v>46</v>
      </c>
      <c r="M18" s="53">
        <v>50</v>
      </c>
      <c r="N18" s="45">
        <f>(D18+F18+H18+J18)*50%</f>
        <v>2318.8</v>
      </c>
      <c r="O18" s="45"/>
      <c r="P18" s="45"/>
      <c r="Q18" s="53">
        <v>25</v>
      </c>
      <c r="R18" s="45">
        <f>D18*25%</f>
        <v>682</v>
      </c>
      <c r="S18" s="55">
        <v>500</v>
      </c>
      <c r="T18" s="54"/>
      <c r="U18" s="54"/>
      <c r="V18" s="54"/>
      <c r="W18" s="45"/>
      <c r="X18" s="45"/>
      <c r="Y18" s="45">
        <f>D18+F18+H18+J18+N18+R18+S18</f>
        <v>8138.400000000001</v>
      </c>
      <c r="Z18" s="45">
        <f>D18*2</f>
        <v>5456</v>
      </c>
      <c r="AA18" s="50">
        <f>D18*2</f>
        <v>5456</v>
      </c>
      <c r="AB18" s="50">
        <f>D18*0.8</f>
        <v>2182.4</v>
      </c>
      <c r="AC18" s="43">
        <f t="shared" si="0"/>
        <v>117302.4</v>
      </c>
    </row>
    <row r="19" spans="1:29" ht="12.75">
      <c r="A19" s="51"/>
      <c r="B19" s="58" t="s">
        <v>17</v>
      </c>
      <c r="C19" s="59">
        <f>SUM(C16:C18)</f>
        <v>3</v>
      </c>
      <c r="D19" s="59">
        <f>SUM(D16:D18)</f>
        <v>10705</v>
      </c>
      <c r="E19" s="60"/>
      <c r="F19" s="43">
        <f>SUM(F16:F18)</f>
        <v>2057.15</v>
      </c>
      <c r="G19" s="43"/>
      <c r="H19" s="43">
        <f>SUM(H16:H18)</f>
        <v>1070.5</v>
      </c>
      <c r="I19" s="43"/>
      <c r="J19" s="43">
        <f>SUM(J16:J18)</f>
        <v>8963.1</v>
      </c>
      <c r="K19" s="43"/>
      <c r="L19" s="43">
        <f>SUM(L16:L18)</f>
        <v>0</v>
      </c>
      <c r="M19" s="43"/>
      <c r="N19" s="43">
        <f>SUM(N16:N18)</f>
        <v>11397.875</v>
      </c>
      <c r="O19" s="43"/>
      <c r="P19" s="43"/>
      <c r="Q19" s="43"/>
      <c r="R19" s="43">
        <f aca="true" t="shared" si="1" ref="R19:Z19">SUM(R16:R18)</f>
        <v>2676.25</v>
      </c>
      <c r="S19" s="44">
        <f t="shared" si="1"/>
        <v>1500</v>
      </c>
      <c r="T19" s="43">
        <f t="shared" si="1"/>
        <v>0</v>
      </c>
      <c r="U19" s="43">
        <f t="shared" si="1"/>
        <v>0</v>
      </c>
      <c r="V19" s="43">
        <f t="shared" si="1"/>
        <v>0</v>
      </c>
      <c r="W19" s="43">
        <f t="shared" si="1"/>
        <v>0</v>
      </c>
      <c r="X19" s="43">
        <f t="shared" si="1"/>
        <v>0</v>
      </c>
      <c r="Y19" s="43">
        <f t="shared" si="1"/>
        <v>38369.875</v>
      </c>
      <c r="Z19" s="43">
        <f t="shared" si="1"/>
        <v>21410</v>
      </c>
      <c r="AA19" s="46">
        <f>AA16+AA17+AA18</f>
        <v>21410</v>
      </c>
      <c r="AB19" s="43">
        <f>AB16+AB17+AB18</f>
        <v>9781.5</v>
      </c>
      <c r="AC19" s="43">
        <f t="shared" si="0"/>
        <v>542384.5</v>
      </c>
    </row>
    <row r="20" spans="1:29" ht="15.75" customHeight="1">
      <c r="A20" s="51">
        <v>5</v>
      </c>
      <c r="B20" s="61" t="s">
        <v>51</v>
      </c>
      <c r="C20" s="53">
        <v>1</v>
      </c>
      <c r="D20" s="54">
        <v>2518</v>
      </c>
      <c r="E20" s="53">
        <v>10</v>
      </c>
      <c r="F20" s="54">
        <f>D20*10%</f>
        <v>251.8</v>
      </c>
      <c r="G20" s="53">
        <v>10</v>
      </c>
      <c r="H20" s="54">
        <f>D20*10%</f>
        <v>251.8</v>
      </c>
      <c r="I20" s="53">
        <v>50</v>
      </c>
      <c r="J20" s="54">
        <f>D20*50%</f>
        <v>1259</v>
      </c>
      <c r="K20" s="53" t="s">
        <v>46</v>
      </c>
      <c r="L20" s="54" t="s">
        <v>46</v>
      </c>
      <c r="M20" s="53">
        <v>50</v>
      </c>
      <c r="N20" s="54">
        <f>(D20+F20+H20+J20)*50%</f>
        <v>2140.3</v>
      </c>
      <c r="O20" s="54"/>
      <c r="P20" s="54"/>
      <c r="Q20" s="53">
        <v>25</v>
      </c>
      <c r="R20" s="54">
        <f>D20*25%</f>
        <v>629.5</v>
      </c>
      <c r="S20" s="55">
        <v>500</v>
      </c>
      <c r="T20" s="54"/>
      <c r="U20" s="54"/>
      <c r="V20" s="54"/>
      <c r="W20" s="54"/>
      <c r="X20" s="54"/>
      <c r="Y20" s="54">
        <f>D20+F20+H20+J20+N20+R20+S20</f>
        <v>7550.400000000001</v>
      </c>
      <c r="Z20" s="54">
        <f>D20*2</f>
        <v>5036</v>
      </c>
      <c r="AA20" s="62">
        <f>D20*2</f>
        <v>5036</v>
      </c>
      <c r="AB20" s="62">
        <f>D22*0.8</f>
        <v>2014.4</v>
      </c>
      <c r="AC20" s="43">
        <f t="shared" si="0"/>
        <v>108734.4</v>
      </c>
    </row>
    <row r="21" spans="1:29" ht="12.75">
      <c r="A21" s="51">
        <v>6</v>
      </c>
      <c r="B21" s="57" t="s">
        <v>52</v>
      </c>
      <c r="C21" s="53">
        <v>1</v>
      </c>
      <c r="D21" s="54">
        <v>2518</v>
      </c>
      <c r="E21" s="53">
        <v>10</v>
      </c>
      <c r="F21" s="45">
        <f>D21*10%</f>
        <v>251.8</v>
      </c>
      <c r="G21" s="53">
        <v>10</v>
      </c>
      <c r="H21" s="54">
        <f>D21*10%</f>
        <v>251.8</v>
      </c>
      <c r="I21" s="53">
        <v>50</v>
      </c>
      <c r="J21" s="54">
        <f>D21*50%</f>
        <v>1259</v>
      </c>
      <c r="K21" s="53" t="s">
        <v>46</v>
      </c>
      <c r="L21" s="45" t="s">
        <v>46</v>
      </c>
      <c r="M21" s="53">
        <v>50</v>
      </c>
      <c r="N21" s="54">
        <f>(D21+F21+H21+J21)*50%</f>
        <v>2140.3</v>
      </c>
      <c r="O21" s="54"/>
      <c r="P21" s="54"/>
      <c r="Q21" s="53">
        <v>25</v>
      </c>
      <c r="R21" s="54">
        <f>D21*25%</f>
        <v>629.5</v>
      </c>
      <c r="S21" s="55">
        <v>500</v>
      </c>
      <c r="T21" s="54"/>
      <c r="U21" s="54"/>
      <c r="V21" s="54"/>
      <c r="W21" s="45"/>
      <c r="X21" s="45"/>
      <c r="Y21" s="54">
        <f>D21+F21+H21+J21+N21+R21+S21</f>
        <v>7550.400000000001</v>
      </c>
      <c r="Z21" s="45">
        <f>D21*2</f>
        <v>5036</v>
      </c>
      <c r="AA21" s="50">
        <f>D21*2</f>
        <v>5036</v>
      </c>
      <c r="AB21" s="50">
        <f>D21*0.8</f>
        <v>2014.4</v>
      </c>
      <c r="AC21" s="43">
        <f t="shared" si="0"/>
        <v>108734.4</v>
      </c>
    </row>
    <row r="22" spans="1:29" ht="12.75">
      <c r="A22" s="51">
        <v>7</v>
      </c>
      <c r="B22" s="57" t="s">
        <v>53</v>
      </c>
      <c r="C22" s="53">
        <f>SUM(C21:C21)</f>
        <v>1</v>
      </c>
      <c r="D22" s="54">
        <v>2518</v>
      </c>
      <c r="E22" s="53">
        <v>10</v>
      </c>
      <c r="F22" s="54">
        <f>D22*10%</f>
        <v>251.8</v>
      </c>
      <c r="G22" s="53">
        <v>10</v>
      </c>
      <c r="H22" s="54">
        <f>D22*10%</f>
        <v>251.8</v>
      </c>
      <c r="I22" s="53">
        <v>50</v>
      </c>
      <c r="J22" s="54">
        <f>D22*50%</f>
        <v>1259</v>
      </c>
      <c r="K22" s="53" t="s">
        <v>46</v>
      </c>
      <c r="L22" s="54" t="s">
        <v>46</v>
      </c>
      <c r="M22" s="53">
        <v>50</v>
      </c>
      <c r="N22" s="54">
        <f>(D22+F22+H22+J22)*50%</f>
        <v>2140.3</v>
      </c>
      <c r="O22" s="54"/>
      <c r="P22" s="54"/>
      <c r="Q22" s="53">
        <v>25</v>
      </c>
      <c r="R22" s="54">
        <f>D22*25%</f>
        <v>629.5</v>
      </c>
      <c r="S22" s="55">
        <v>500</v>
      </c>
      <c r="T22" s="54"/>
      <c r="U22" s="54"/>
      <c r="V22" s="54"/>
      <c r="W22" s="54"/>
      <c r="X22" s="54"/>
      <c r="Y22" s="54">
        <f>D22+F22+H22+J22+N22+R22+S22</f>
        <v>7550.400000000001</v>
      </c>
      <c r="Z22" s="54">
        <f>D22*2</f>
        <v>5036</v>
      </c>
      <c r="AA22" s="62">
        <f>D22*2</f>
        <v>5036</v>
      </c>
      <c r="AB22" s="62">
        <f>D22*0.8</f>
        <v>2014.4</v>
      </c>
      <c r="AC22" s="43">
        <f t="shared" si="0"/>
        <v>108734.4</v>
      </c>
    </row>
    <row r="23" spans="1:29" ht="12.75">
      <c r="A23" s="51"/>
      <c r="B23" s="58" t="s">
        <v>17</v>
      </c>
      <c r="C23" s="60">
        <v>3</v>
      </c>
      <c r="D23" s="59">
        <f>D20+D21+D22</f>
        <v>7554</v>
      </c>
      <c r="E23" s="59"/>
      <c r="F23" s="59">
        <f>F20+F21+F22</f>
        <v>755.4000000000001</v>
      </c>
      <c r="G23" s="59"/>
      <c r="H23" s="59">
        <f>H20+H21+H22</f>
        <v>755.4000000000001</v>
      </c>
      <c r="I23" s="59"/>
      <c r="J23" s="59">
        <f>J20+J21+J22</f>
        <v>3777</v>
      </c>
      <c r="K23" s="59"/>
      <c r="L23" s="59"/>
      <c r="M23" s="59"/>
      <c r="N23" s="59">
        <f>N20+N21+N22</f>
        <v>6420.900000000001</v>
      </c>
      <c r="O23" s="59"/>
      <c r="P23" s="59"/>
      <c r="Q23" s="59"/>
      <c r="R23" s="59">
        <f aca="true" t="shared" si="2" ref="R23:AB23">R20+R21+R22</f>
        <v>1888.5</v>
      </c>
      <c r="S23" s="63">
        <f t="shared" si="2"/>
        <v>1500</v>
      </c>
      <c r="T23" s="59">
        <f t="shared" si="2"/>
        <v>0</v>
      </c>
      <c r="U23" s="59">
        <f t="shared" si="2"/>
        <v>0</v>
      </c>
      <c r="V23" s="59">
        <f t="shared" si="2"/>
        <v>0</v>
      </c>
      <c r="W23" s="59">
        <f t="shared" si="2"/>
        <v>0</v>
      </c>
      <c r="X23" s="59">
        <f t="shared" si="2"/>
        <v>0</v>
      </c>
      <c r="Y23" s="59">
        <f t="shared" si="2"/>
        <v>22651.2</v>
      </c>
      <c r="Z23" s="59">
        <f t="shared" si="2"/>
        <v>15108</v>
      </c>
      <c r="AA23" s="64">
        <f t="shared" si="2"/>
        <v>15108</v>
      </c>
      <c r="AB23" s="64">
        <f t="shared" si="2"/>
        <v>6043.200000000001</v>
      </c>
      <c r="AC23" s="43">
        <f t="shared" si="0"/>
        <v>326203.2</v>
      </c>
    </row>
    <row r="24" spans="1:29" ht="15" customHeight="1">
      <c r="A24" s="51">
        <v>8</v>
      </c>
      <c r="B24" s="57" t="s">
        <v>54</v>
      </c>
      <c r="C24" s="53">
        <v>0.5</v>
      </c>
      <c r="D24" s="54">
        <v>1943</v>
      </c>
      <c r="E24" s="53"/>
      <c r="F24" s="45">
        <v>0</v>
      </c>
      <c r="G24" s="53">
        <v>10</v>
      </c>
      <c r="H24" s="45">
        <f>D24*G24%</f>
        <v>194.3</v>
      </c>
      <c r="I24" s="53"/>
      <c r="J24" s="45">
        <v>0</v>
      </c>
      <c r="K24" s="53">
        <v>50</v>
      </c>
      <c r="L24" s="45">
        <f>D24*50%</f>
        <v>971.5</v>
      </c>
      <c r="M24" s="65">
        <v>16.66</v>
      </c>
      <c r="N24" s="45">
        <f>D24*16.66%</f>
        <v>323.7038</v>
      </c>
      <c r="O24" s="45"/>
      <c r="P24" s="45"/>
      <c r="Q24" s="53">
        <v>25</v>
      </c>
      <c r="R24" s="45">
        <f>D24*25%</f>
        <v>485.75</v>
      </c>
      <c r="S24" s="55">
        <v>0</v>
      </c>
      <c r="T24" s="54"/>
      <c r="U24" s="54"/>
      <c r="V24" s="54"/>
      <c r="W24" s="45"/>
      <c r="X24" s="45"/>
      <c r="Y24" s="45">
        <f>D24+L24+N24+R24+H24</f>
        <v>3918.2538000000004</v>
      </c>
      <c r="Z24" s="45">
        <v>0</v>
      </c>
      <c r="AA24" s="50">
        <f>D24*2</f>
        <v>3886</v>
      </c>
      <c r="AB24" s="50"/>
      <c r="AC24" s="54">
        <f>Y24*12+AA24</f>
        <v>50905.045600000005</v>
      </c>
    </row>
    <row r="25" spans="1:29" ht="12.75">
      <c r="A25" s="51"/>
      <c r="B25" s="58" t="s">
        <v>17</v>
      </c>
      <c r="C25" s="60">
        <v>0.5</v>
      </c>
      <c r="D25" s="59">
        <f>D24</f>
        <v>1943</v>
      </c>
      <c r="E25" s="60"/>
      <c r="F25" s="43">
        <v>0</v>
      </c>
      <c r="G25" s="63"/>
      <c r="H25" s="43">
        <f>H24</f>
        <v>194.3</v>
      </c>
      <c r="I25" s="63"/>
      <c r="J25" s="43">
        <v>0</v>
      </c>
      <c r="K25" s="60"/>
      <c r="L25" s="43">
        <f>L24</f>
        <v>971.5</v>
      </c>
      <c r="M25" s="60"/>
      <c r="N25" s="43">
        <f>D25*16.66%</f>
        <v>323.7038</v>
      </c>
      <c r="O25" s="43"/>
      <c r="P25" s="43"/>
      <c r="Q25" s="60"/>
      <c r="R25" s="43">
        <f>D25*25%</f>
        <v>485.75</v>
      </c>
      <c r="S25" s="63">
        <v>0</v>
      </c>
      <c r="T25" s="59"/>
      <c r="U25" s="59"/>
      <c r="V25" s="59"/>
      <c r="W25" s="43"/>
      <c r="X25" s="43"/>
      <c r="Y25" s="43">
        <f>Y24</f>
        <v>3918.2538000000004</v>
      </c>
      <c r="Z25" s="43">
        <v>0</v>
      </c>
      <c r="AA25" s="46">
        <f>AA24</f>
        <v>3886</v>
      </c>
      <c r="AB25" s="46"/>
      <c r="AC25" s="59">
        <f>Y25*12+AA25</f>
        <v>50905.045600000005</v>
      </c>
    </row>
    <row r="26" spans="1:29" ht="15.75" customHeight="1">
      <c r="A26" s="51">
        <v>9</v>
      </c>
      <c r="B26" s="56" t="s">
        <v>55</v>
      </c>
      <c r="C26" s="53">
        <v>1</v>
      </c>
      <c r="D26" s="54">
        <v>3650</v>
      </c>
      <c r="E26" s="53"/>
      <c r="F26" s="45"/>
      <c r="G26" s="53"/>
      <c r="H26" s="45"/>
      <c r="I26" s="53"/>
      <c r="J26" s="45"/>
      <c r="K26" s="53">
        <v>35</v>
      </c>
      <c r="L26" s="45">
        <f>D26*35%</f>
        <v>1277.5</v>
      </c>
      <c r="M26" s="53">
        <v>0</v>
      </c>
      <c r="N26" s="45">
        <v>0</v>
      </c>
      <c r="O26" s="45"/>
      <c r="P26" s="45"/>
      <c r="Q26" s="53">
        <v>25</v>
      </c>
      <c r="R26" s="45">
        <f>D26*25%</f>
        <v>912.5</v>
      </c>
      <c r="S26" s="55">
        <v>0</v>
      </c>
      <c r="T26" s="54"/>
      <c r="U26" s="54">
        <v>0</v>
      </c>
      <c r="V26" s="54">
        <f>D26*25%</f>
        <v>912.5</v>
      </c>
      <c r="W26" s="66">
        <v>25</v>
      </c>
      <c r="X26" s="45">
        <f>D26*25%</f>
        <v>912.5</v>
      </c>
      <c r="Y26" s="45">
        <f>X26+V26+S26+R26+N26+L26+D26</f>
        <v>7665</v>
      </c>
      <c r="Z26" s="45">
        <v>0</v>
      </c>
      <c r="AA26" s="50">
        <v>0</v>
      </c>
      <c r="AB26" s="50"/>
      <c r="AC26" s="54">
        <f>Y26*12</f>
        <v>91980</v>
      </c>
    </row>
    <row r="27" spans="1:29" ht="12.75" hidden="1">
      <c r="A27" s="51">
        <v>10</v>
      </c>
      <c r="B27" s="56" t="s">
        <v>55</v>
      </c>
      <c r="C27" s="53">
        <v>1</v>
      </c>
      <c r="D27" s="54">
        <v>1208</v>
      </c>
      <c r="E27" s="53"/>
      <c r="F27" s="45"/>
      <c r="G27" s="53"/>
      <c r="H27" s="45"/>
      <c r="I27" s="53"/>
      <c r="J27" s="45"/>
      <c r="K27" s="53">
        <v>50</v>
      </c>
      <c r="L27" s="45">
        <v>604</v>
      </c>
      <c r="M27" s="53">
        <v>33.3</v>
      </c>
      <c r="N27" s="45">
        <v>402</v>
      </c>
      <c r="O27" s="45"/>
      <c r="P27" s="45"/>
      <c r="Q27" s="53">
        <v>50</v>
      </c>
      <c r="R27" s="45">
        <v>604</v>
      </c>
      <c r="S27" s="54">
        <v>500</v>
      </c>
      <c r="T27" s="54"/>
      <c r="U27" s="54"/>
      <c r="V27" s="54">
        <v>302</v>
      </c>
      <c r="W27" s="45">
        <v>50</v>
      </c>
      <c r="X27" s="45">
        <v>604</v>
      </c>
      <c r="Y27" s="45">
        <v>4224</v>
      </c>
      <c r="Z27" s="45">
        <v>0</v>
      </c>
      <c r="AA27" s="50">
        <v>0</v>
      </c>
      <c r="AB27" s="50"/>
      <c r="AC27" s="54">
        <v>50688</v>
      </c>
    </row>
    <row r="28" spans="1:29" ht="12.75" hidden="1">
      <c r="A28" s="51">
        <v>11</v>
      </c>
      <c r="B28" s="56" t="s">
        <v>56</v>
      </c>
      <c r="C28" s="53">
        <v>3.6</v>
      </c>
      <c r="D28" s="54">
        <v>2880</v>
      </c>
      <c r="E28" s="53"/>
      <c r="F28" s="45"/>
      <c r="G28" s="53"/>
      <c r="H28" s="45"/>
      <c r="I28" s="53"/>
      <c r="J28" s="45"/>
      <c r="K28" s="53">
        <v>50</v>
      </c>
      <c r="L28" s="45">
        <v>1440</v>
      </c>
      <c r="M28" s="53">
        <v>33.3</v>
      </c>
      <c r="N28" s="45">
        <v>958</v>
      </c>
      <c r="O28" s="45"/>
      <c r="P28" s="45"/>
      <c r="Q28" s="53">
        <v>50</v>
      </c>
      <c r="R28" s="45">
        <v>1440</v>
      </c>
      <c r="S28" s="54">
        <v>1800</v>
      </c>
      <c r="T28" s="54"/>
      <c r="U28" s="54"/>
      <c r="V28" s="54"/>
      <c r="W28" s="45">
        <v>14.17</v>
      </c>
      <c r="X28" s="45">
        <v>406</v>
      </c>
      <c r="Y28" s="45">
        <v>8924</v>
      </c>
      <c r="Z28" s="45">
        <v>0</v>
      </c>
      <c r="AA28" s="50">
        <v>0</v>
      </c>
      <c r="AB28" s="50"/>
      <c r="AC28" s="54">
        <v>107088</v>
      </c>
    </row>
    <row r="29" spans="1:29" ht="12.75" hidden="1">
      <c r="A29" s="51">
        <v>12</v>
      </c>
      <c r="B29" s="57" t="s">
        <v>57</v>
      </c>
      <c r="C29" s="53">
        <v>0.5</v>
      </c>
      <c r="D29" s="54">
        <v>400</v>
      </c>
      <c r="E29" s="53"/>
      <c r="F29" s="45"/>
      <c r="G29" s="53"/>
      <c r="H29" s="45"/>
      <c r="I29" s="55"/>
      <c r="J29" s="45"/>
      <c r="K29" s="53">
        <v>50</v>
      </c>
      <c r="L29" s="45">
        <v>200</v>
      </c>
      <c r="M29" s="53">
        <v>33.3</v>
      </c>
      <c r="N29" s="45">
        <v>133</v>
      </c>
      <c r="O29" s="45"/>
      <c r="P29" s="45"/>
      <c r="Q29" s="53">
        <v>50</v>
      </c>
      <c r="R29" s="45">
        <v>200</v>
      </c>
      <c r="S29" s="54">
        <v>250</v>
      </c>
      <c r="T29" s="54"/>
      <c r="U29" s="54"/>
      <c r="V29" s="54"/>
      <c r="W29" s="45">
        <v>14.17</v>
      </c>
      <c r="X29" s="45">
        <v>56.68</v>
      </c>
      <c r="Y29" s="45">
        <v>1223</v>
      </c>
      <c r="Z29" s="45">
        <v>0</v>
      </c>
      <c r="AA29" s="50">
        <v>0</v>
      </c>
      <c r="AB29" s="50"/>
      <c r="AC29" s="54">
        <v>14676</v>
      </c>
    </row>
    <row r="30" spans="1:29" ht="12.75" hidden="1">
      <c r="A30" s="67"/>
      <c r="B30" s="68" t="s">
        <v>17</v>
      </c>
      <c r="C30" s="69">
        <f>SUM(C26:C29)</f>
        <v>6.1</v>
      </c>
      <c r="D30" s="70">
        <f>SUM(D26:D29)</f>
        <v>8138</v>
      </c>
      <c r="E30" s="70"/>
      <c r="F30" s="70">
        <f>SUM(F26:F29)</f>
        <v>0</v>
      </c>
      <c r="G30" s="70"/>
      <c r="H30" s="70">
        <f>SUM(H26:H29)</f>
        <v>0</v>
      </c>
      <c r="I30" s="70"/>
      <c r="J30" s="70">
        <f>SUM(J26:J29)</f>
        <v>0</v>
      </c>
      <c r="K30" s="70"/>
      <c r="L30" s="70">
        <f>SUM(L26:L29)</f>
        <v>3521.5</v>
      </c>
      <c r="M30" s="70"/>
      <c r="N30" s="70">
        <f>SUM(N26:N29)</f>
        <v>1493</v>
      </c>
      <c r="O30" s="70"/>
      <c r="P30" s="70"/>
      <c r="Q30" s="70"/>
      <c r="R30" s="70">
        <f>SUM(R26:R29)</f>
        <v>3156.5</v>
      </c>
      <c r="S30" s="70">
        <f>SUM(S26:S29)</f>
        <v>2550</v>
      </c>
      <c r="T30" s="70">
        <f>SUM(T26:T29)</f>
        <v>0</v>
      </c>
      <c r="U30" s="70">
        <f>SUM(U26:U29)</f>
        <v>0</v>
      </c>
      <c r="V30" s="70">
        <f>SUM(V26:V29)</f>
        <v>1214.5</v>
      </c>
      <c r="W30" s="70"/>
      <c r="X30" s="70">
        <f>SUM(X26:X29)</f>
        <v>1979.18</v>
      </c>
      <c r="Y30" s="70">
        <f>SUM(Y26:Y29)</f>
        <v>22036</v>
      </c>
      <c r="Z30" s="70">
        <f>SUM(Z26:Z29)</f>
        <v>0</v>
      </c>
      <c r="AA30" s="71">
        <f>SUM(AA26:AA29)</f>
        <v>0</v>
      </c>
      <c r="AB30" s="71"/>
      <c r="AC30" s="70">
        <f>SUM(AC26:AC29)</f>
        <v>264432</v>
      </c>
    </row>
    <row r="31" spans="1:29" ht="12.75">
      <c r="A31" s="72">
        <v>10</v>
      </c>
      <c r="B31" s="73" t="s">
        <v>58</v>
      </c>
      <c r="C31" s="74">
        <v>0.6</v>
      </c>
      <c r="D31" s="75">
        <v>1740</v>
      </c>
      <c r="E31" s="75"/>
      <c r="F31" s="75">
        <v>0</v>
      </c>
      <c r="G31" s="75"/>
      <c r="H31" s="75">
        <v>0</v>
      </c>
      <c r="I31" s="75"/>
      <c r="J31" s="75">
        <v>0</v>
      </c>
      <c r="K31" s="76" t="s">
        <v>59</v>
      </c>
      <c r="L31" s="75">
        <f>D31*25%</f>
        <v>435</v>
      </c>
      <c r="M31" s="75"/>
      <c r="N31" s="75">
        <v>0</v>
      </c>
      <c r="O31" s="75"/>
      <c r="P31" s="75"/>
      <c r="Q31" s="77">
        <v>25</v>
      </c>
      <c r="R31" s="75">
        <f>D31*25%</f>
        <v>435</v>
      </c>
      <c r="S31" s="77">
        <v>0</v>
      </c>
      <c r="T31" s="75"/>
      <c r="U31" s="75">
        <f>D31*12%</f>
        <v>208.79999999999998</v>
      </c>
      <c r="V31" s="75"/>
      <c r="W31" s="75"/>
      <c r="X31" s="75">
        <v>0</v>
      </c>
      <c r="Y31" s="75">
        <f>U31+S31+R31+N31+L31+D31</f>
        <v>2818.8</v>
      </c>
      <c r="Z31" s="75">
        <v>0</v>
      </c>
      <c r="AA31" s="78">
        <v>0</v>
      </c>
      <c r="AB31" s="78"/>
      <c r="AC31" s="79">
        <f>Y31*12</f>
        <v>33825.600000000006</v>
      </c>
    </row>
    <row r="32" spans="1:29" ht="12.75">
      <c r="A32" s="72">
        <v>11</v>
      </c>
      <c r="B32" s="73" t="s">
        <v>60</v>
      </c>
      <c r="C32" s="74">
        <v>1</v>
      </c>
      <c r="D32" s="75">
        <v>2900</v>
      </c>
      <c r="E32" s="75"/>
      <c r="F32" s="75">
        <v>0</v>
      </c>
      <c r="G32" s="75"/>
      <c r="H32" s="75">
        <v>0</v>
      </c>
      <c r="I32" s="75"/>
      <c r="J32" s="75">
        <v>0</v>
      </c>
      <c r="K32" s="76" t="s">
        <v>61</v>
      </c>
      <c r="L32" s="75">
        <f>D32*15%</f>
        <v>435</v>
      </c>
      <c r="M32" s="75"/>
      <c r="N32" s="75">
        <v>0</v>
      </c>
      <c r="O32" s="75"/>
      <c r="P32" s="75"/>
      <c r="Q32" s="77">
        <v>25</v>
      </c>
      <c r="R32" s="75">
        <f>D32*25%</f>
        <v>725</v>
      </c>
      <c r="S32" s="77">
        <v>0</v>
      </c>
      <c r="T32" s="75"/>
      <c r="U32" s="75">
        <v>0</v>
      </c>
      <c r="V32" s="75">
        <v>0</v>
      </c>
      <c r="W32" s="75">
        <v>14.17</v>
      </c>
      <c r="X32" s="75">
        <f>D32*14.17%</f>
        <v>410.93</v>
      </c>
      <c r="Y32" s="75">
        <f>X32+S32+R32+N32+L32+D32</f>
        <v>4470.93</v>
      </c>
      <c r="Z32" s="75">
        <v>0</v>
      </c>
      <c r="AA32" s="78">
        <v>0</v>
      </c>
      <c r="AB32" s="78"/>
      <c r="AC32" s="79">
        <f>Y32*12</f>
        <v>53651.16</v>
      </c>
    </row>
    <row r="33" spans="1:29" ht="12.75">
      <c r="A33" s="72">
        <v>12</v>
      </c>
      <c r="B33" s="73" t="s">
        <v>56</v>
      </c>
      <c r="C33" s="74">
        <v>3.45</v>
      </c>
      <c r="D33" s="75">
        <v>10005</v>
      </c>
      <c r="E33" s="75"/>
      <c r="F33" s="75">
        <v>0</v>
      </c>
      <c r="G33" s="75"/>
      <c r="H33" s="75">
        <v>0</v>
      </c>
      <c r="I33" s="75"/>
      <c r="J33" s="75">
        <v>0</v>
      </c>
      <c r="K33" s="76" t="s">
        <v>61</v>
      </c>
      <c r="L33" s="75">
        <f>D33*15%</f>
        <v>1500.75</v>
      </c>
      <c r="M33" s="75"/>
      <c r="N33" s="75">
        <v>0</v>
      </c>
      <c r="O33" s="75"/>
      <c r="P33" s="75"/>
      <c r="Q33" s="77">
        <v>25</v>
      </c>
      <c r="R33" s="75">
        <f>D33*25%</f>
        <v>2501.25</v>
      </c>
      <c r="S33" s="77">
        <v>0</v>
      </c>
      <c r="T33" s="75"/>
      <c r="U33" s="75">
        <v>0</v>
      </c>
      <c r="V33" s="75">
        <v>0</v>
      </c>
      <c r="W33" s="75">
        <v>14.17</v>
      </c>
      <c r="X33" s="75">
        <f>D33*14.17%</f>
        <v>1417.7085</v>
      </c>
      <c r="Y33" s="75">
        <f>D33+L33+N33+R33+S33+X33</f>
        <v>15424.7085</v>
      </c>
      <c r="Z33" s="75">
        <v>0</v>
      </c>
      <c r="AA33" s="78">
        <v>0</v>
      </c>
      <c r="AB33" s="78"/>
      <c r="AC33" s="79">
        <f>Y33*12</f>
        <v>185096.502</v>
      </c>
    </row>
    <row r="34" spans="1:29" ht="13.5" thickBot="1">
      <c r="A34" s="72"/>
      <c r="B34" s="80" t="s">
        <v>17</v>
      </c>
      <c r="C34" s="81">
        <f>C26+C31+C32+C33</f>
        <v>6.050000000000001</v>
      </c>
      <c r="D34" s="82">
        <f>D26+D31+D32+D33</f>
        <v>18295</v>
      </c>
      <c r="E34" s="82"/>
      <c r="F34" s="82">
        <f>SUM(F26:F33)</f>
        <v>0</v>
      </c>
      <c r="G34" s="83"/>
      <c r="H34" s="82">
        <f>SUM(H26:H33)</f>
        <v>0</v>
      </c>
      <c r="I34" s="83">
        <v>0</v>
      </c>
      <c r="J34" s="82">
        <f>SUM(J26:J33)</f>
        <v>0</v>
      </c>
      <c r="K34" s="82"/>
      <c r="L34" s="82">
        <f>L26+L31+L32+L33</f>
        <v>3648.25</v>
      </c>
      <c r="M34" s="82">
        <v>0</v>
      </c>
      <c r="N34" s="82">
        <f>N26+N31+N32+N33</f>
        <v>0</v>
      </c>
      <c r="O34" s="82"/>
      <c r="P34" s="82"/>
      <c r="Q34" s="83">
        <v>0</v>
      </c>
      <c r="R34" s="82">
        <f>R26+R31+R32+R33</f>
        <v>4573.75</v>
      </c>
      <c r="S34" s="84">
        <f>S26+S31+S32+S33</f>
        <v>0</v>
      </c>
      <c r="T34" s="82">
        <f>SUM(T26:T33)</f>
        <v>0</v>
      </c>
      <c r="U34" s="82">
        <f>U31+U32</f>
        <v>208.79999999999998</v>
      </c>
      <c r="V34" s="82">
        <f>V31+V26</f>
        <v>912.5</v>
      </c>
      <c r="W34" s="82">
        <v>0</v>
      </c>
      <c r="X34" s="82">
        <f>X26+X33+X32</f>
        <v>2741.1384999999996</v>
      </c>
      <c r="Y34" s="82">
        <f>Y26+Y31+Y32+Y33</f>
        <v>30379.4385</v>
      </c>
      <c r="Z34" s="82">
        <f>SUM(Z26:Z33)</f>
        <v>0</v>
      </c>
      <c r="AA34" s="85">
        <f>SUM(AA26:AA33)</f>
        <v>0</v>
      </c>
      <c r="AB34" s="82"/>
      <c r="AC34" s="82">
        <f>AC26+AC31+AC32+AC33</f>
        <v>364553.262</v>
      </c>
    </row>
    <row r="35" spans="1:29" s="93" customFormat="1" ht="20.25" customHeight="1">
      <c r="A35" s="86"/>
      <c r="B35" s="87" t="s">
        <v>21</v>
      </c>
      <c r="C35" s="88">
        <f>C14+C19+C23+C25+C34</f>
        <v>13.55</v>
      </c>
      <c r="D35" s="89">
        <f>D14+D19+D23+D25+D34</f>
        <v>44583</v>
      </c>
      <c r="E35" s="89"/>
      <c r="F35" s="89">
        <f>F14+F19+F23+F25+F34</f>
        <v>5855.549999999999</v>
      </c>
      <c r="G35" s="89"/>
      <c r="H35" s="89">
        <f>H14+H19+H23+H25+H34</f>
        <v>2628.8</v>
      </c>
      <c r="I35" s="89"/>
      <c r="J35" s="89">
        <f>J14+J19+J23+J25+J34</f>
        <v>24912.1</v>
      </c>
      <c r="K35" s="89"/>
      <c r="L35" s="89">
        <f>L25+L34</f>
        <v>4619.75</v>
      </c>
      <c r="M35" s="89"/>
      <c r="N35" s="89">
        <f>N14+N19+N23+N25+N34</f>
        <v>29097.2788</v>
      </c>
      <c r="O35" s="89"/>
      <c r="P35" s="89">
        <f>P14</f>
        <v>0</v>
      </c>
      <c r="Q35" s="89"/>
      <c r="R35" s="89">
        <f aca="true" t="shared" si="3" ref="R35:Y35">R14+R19+R23+R25+R34</f>
        <v>11145.75</v>
      </c>
      <c r="S35" s="90">
        <f t="shared" si="3"/>
        <v>3500</v>
      </c>
      <c r="T35" s="89">
        <f t="shared" si="3"/>
        <v>0</v>
      </c>
      <c r="U35" s="89">
        <f t="shared" si="3"/>
        <v>208.79999999999998</v>
      </c>
      <c r="V35" s="89">
        <f t="shared" si="3"/>
        <v>912.5</v>
      </c>
      <c r="W35" s="89">
        <f t="shared" si="3"/>
        <v>0</v>
      </c>
      <c r="X35" s="89">
        <f t="shared" si="3"/>
        <v>2741.1384999999996</v>
      </c>
      <c r="Y35" s="89">
        <f t="shared" si="3"/>
        <v>130204.6673</v>
      </c>
      <c r="Z35" s="89">
        <f>Z14+Z19+Z23</f>
        <v>48690</v>
      </c>
      <c r="AA35" s="91">
        <f>AA14+AA19+AA23+AA25</f>
        <v>52576</v>
      </c>
      <c r="AB35" s="91">
        <f>AB14+AB19+AB23</f>
        <v>23736.5</v>
      </c>
      <c r="AC35" s="92">
        <f>AC14+AC19+AC23+AC25+AC34</f>
        <v>1758668.0076000001</v>
      </c>
    </row>
    <row r="36" spans="1:29" s="100" customFormat="1" ht="39.75" customHeight="1" thickBot="1">
      <c r="A36" s="94">
        <v>1</v>
      </c>
      <c r="B36" s="95" t="s">
        <v>62</v>
      </c>
      <c r="C36" s="96">
        <v>0.4</v>
      </c>
      <c r="D36" s="97">
        <v>1555</v>
      </c>
      <c r="E36" s="94"/>
      <c r="F36" s="97"/>
      <c r="G36" s="94">
        <v>10</v>
      </c>
      <c r="H36" s="97">
        <f>D36*G36%</f>
        <v>155.5</v>
      </c>
      <c r="I36" s="97"/>
      <c r="J36" s="97"/>
      <c r="K36" s="94">
        <v>50</v>
      </c>
      <c r="L36" s="94">
        <f>D36*50%</f>
        <v>777.5</v>
      </c>
      <c r="M36" s="98">
        <v>16.66</v>
      </c>
      <c r="N36" s="97">
        <f>D36*16.66%</f>
        <v>259.063</v>
      </c>
      <c r="O36" s="94"/>
      <c r="P36" s="94"/>
      <c r="Q36" s="94">
        <v>25</v>
      </c>
      <c r="R36" s="97">
        <f>D36*25%</f>
        <v>388.75</v>
      </c>
      <c r="S36" s="94"/>
      <c r="T36" s="94"/>
      <c r="U36" s="97"/>
      <c r="V36" s="97"/>
      <c r="W36" s="97"/>
      <c r="X36" s="97"/>
      <c r="Y36" s="97">
        <f>R36+N36+L36+D36+H36</f>
        <v>3135.813</v>
      </c>
      <c r="Z36" s="94"/>
      <c r="AA36" s="99">
        <f>D36*2</f>
        <v>3110</v>
      </c>
      <c r="AB36" s="94"/>
      <c r="AC36" s="97">
        <f>Y36*12+AA36</f>
        <v>40739.756</v>
      </c>
    </row>
    <row r="37" spans="1:29" ht="15.75" customHeight="1">
      <c r="A37" s="51"/>
      <c r="B37" s="87" t="s">
        <v>63</v>
      </c>
      <c r="C37" s="54">
        <f>C35+C36</f>
        <v>13.950000000000001</v>
      </c>
      <c r="D37" s="54">
        <f>D35+D36</f>
        <v>46138</v>
      </c>
      <c r="E37" s="53"/>
      <c r="F37" s="45">
        <f>F35+F36</f>
        <v>5855.549999999999</v>
      </c>
      <c r="G37" s="45"/>
      <c r="H37" s="45">
        <f>H35+H36</f>
        <v>2784.3</v>
      </c>
      <c r="I37" s="45"/>
      <c r="J37" s="45">
        <f>J35+J36</f>
        <v>24912.1</v>
      </c>
      <c r="K37" s="45"/>
      <c r="L37" s="45">
        <f>L35+L36</f>
        <v>5397.25</v>
      </c>
      <c r="M37" s="45"/>
      <c r="N37" s="45">
        <f>N35+N36</f>
        <v>29356.3418</v>
      </c>
      <c r="O37" s="45"/>
      <c r="P37" s="45"/>
      <c r="Q37" s="45"/>
      <c r="R37" s="45">
        <f>R35+R36</f>
        <v>11534.5</v>
      </c>
      <c r="S37" s="101">
        <v>3500</v>
      </c>
      <c r="T37" s="45">
        <f>T35+T36</f>
        <v>0</v>
      </c>
      <c r="U37" s="45">
        <f>U35+U36</f>
        <v>208.79999999999998</v>
      </c>
      <c r="V37" s="45">
        <f>V35+V36</f>
        <v>912.5</v>
      </c>
      <c r="W37" s="45"/>
      <c r="X37" s="45">
        <f aca="true" t="shared" si="4" ref="X37:AC37">X35+X36</f>
        <v>2741.1384999999996</v>
      </c>
      <c r="Y37" s="45">
        <f t="shared" si="4"/>
        <v>133340.4803</v>
      </c>
      <c r="Z37" s="45">
        <f t="shared" si="4"/>
        <v>48690</v>
      </c>
      <c r="AA37" s="45">
        <f t="shared" si="4"/>
        <v>55686</v>
      </c>
      <c r="AB37" s="45">
        <f t="shared" si="4"/>
        <v>23736.5</v>
      </c>
      <c r="AC37" s="45">
        <f t="shared" si="4"/>
        <v>1799407.7636000002</v>
      </c>
    </row>
    <row r="38" spans="1:29" s="93" customFormat="1" ht="14.25">
      <c r="A38" s="102"/>
      <c r="B38" s="102"/>
      <c r="C38" s="103"/>
      <c r="D38" s="104" t="s">
        <v>48</v>
      </c>
      <c r="E38" s="104"/>
      <c r="F38" s="104"/>
      <c r="G38" s="104"/>
      <c r="H38" s="104"/>
      <c r="I38" s="104"/>
      <c r="J38" s="105"/>
      <c r="K38" s="102"/>
      <c r="L38" s="102"/>
      <c r="M38" s="128" t="s">
        <v>64</v>
      </c>
      <c r="N38" s="128"/>
      <c r="O38" s="128"/>
      <c r="P38" s="128"/>
      <c r="Q38" s="128"/>
      <c r="R38" s="128"/>
      <c r="S38" s="128"/>
      <c r="T38" s="102"/>
      <c r="U38" s="105"/>
      <c r="V38" s="105"/>
      <c r="W38" s="105"/>
      <c r="X38" s="105"/>
      <c r="Y38" s="105"/>
      <c r="Z38" s="102"/>
      <c r="AA38" s="102"/>
      <c r="AB38" s="102"/>
      <c r="AC38" s="105"/>
    </row>
    <row r="39" ht="49.5" customHeight="1" hidden="1"/>
    <row r="40" spans="3:26" ht="12.75" hidden="1"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</row>
    <row r="41" ht="12.75" hidden="1"/>
    <row r="42" spans="3:26" ht="12.75" hidden="1"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</row>
    <row r="53" ht="12.75">
      <c r="H53" s="106"/>
    </row>
  </sheetData>
  <sheetProtection/>
  <mergeCells count="24">
    <mergeCell ref="M38:S38"/>
    <mergeCell ref="C40:Z40"/>
    <mergeCell ref="C42:Z42"/>
    <mergeCell ref="A12:A13"/>
    <mergeCell ref="C12:C13"/>
    <mergeCell ref="E12:F12"/>
    <mergeCell ref="G12:H12"/>
    <mergeCell ref="I12:J12"/>
    <mergeCell ref="M12:N12"/>
    <mergeCell ref="B9:AC9"/>
    <mergeCell ref="B11:B13"/>
    <mergeCell ref="E11:F11"/>
    <mergeCell ref="G11:H11"/>
    <mergeCell ref="I11:J11"/>
    <mergeCell ref="M11:N11"/>
    <mergeCell ref="O11:P12"/>
    <mergeCell ref="Q11:R11"/>
    <mergeCell ref="AB11:AB13"/>
    <mergeCell ref="B7:AC7"/>
    <mergeCell ref="B8:AC8"/>
    <mergeCell ref="U1:AC1"/>
    <mergeCell ref="X3:Y3"/>
    <mergeCell ref="Z4:AC4"/>
    <mergeCell ref="W6:X6"/>
  </mergeCells>
  <printOptions/>
  <pageMargins left="0.1968503937007874" right="0" top="1.5748031496062993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Семья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USER</cp:lastModifiedBy>
  <dcterms:created xsi:type="dcterms:W3CDTF">2010-04-08T17:20:21Z</dcterms:created>
  <dcterms:modified xsi:type="dcterms:W3CDTF">2010-05-19T10:51:03Z</dcterms:modified>
  <cp:category/>
  <cp:version/>
  <cp:contentType/>
  <cp:contentStatus/>
</cp:coreProperties>
</file>